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caj\Desktop\"/>
    </mc:Choice>
  </mc:AlternateContent>
  <xr:revisionPtr revIDLastSave="0" documentId="13_ncr:1_{4EE033A2-1694-44E5-81F3-ECE26C0D61D1}" xr6:coauthVersionLast="47" xr6:coauthVersionMax="47" xr10:uidLastSave="{00000000-0000-0000-0000-000000000000}"/>
  <bookViews>
    <workbookView xWindow="-120" yWindow="-120" windowWidth="29040" windowHeight="15720" tabRatio="949" activeTab="1" xr2:uid="{00000000-000D-0000-FFFF-FFFF00000000}"/>
  </bookViews>
  <sheets>
    <sheet name="2s.bezr.pow." sheetId="13" r:id="rId1"/>
    <sheet name="2sort" sheetId="1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1" i="17" l="1"/>
  <c r="E12" i="13" l="1"/>
  <c r="G12" i="13"/>
  <c r="G6" i="13" l="1"/>
  <c r="E6" i="13"/>
  <c r="B30" i="17" l="1"/>
  <c r="B15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4" i="17"/>
  <c r="B13" i="17"/>
  <c r="B12" i="17"/>
  <c r="B11" i="17"/>
  <c r="B10" i="17"/>
  <c r="B9" i="17"/>
  <c r="B8" i="17"/>
  <c r="B7" i="17"/>
  <c r="B6" i="17"/>
  <c r="B5" i="17"/>
  <c r="B4" i="17"/>
  <c r="G5" i="17" l="1"/>
  <c r="G4" i="17"/>
  <c r="E30" i="17"/>
  <c r="C6" i="17"/>
  <c r="C10" i="17"/>
  <c r="C14" i="17"/>
  <c r="C18" i="17"/>
  <c r="C22" i="17"/>
  <c r="C26" i="17"/>
  <c r="C30" i="17"/>
  <c r="D7" i="17"/>
  <c r="D11" i="17"/>
  <c r="D15" i="17"/>
  <c r="D19" i="17"/>
  <c r="D23" i="17"/>
  <c r="D27" i="17"/>
  <c r="E4" i="17"/>
  <c r="E8" i="17"/>
  <c r="E12" i="17"/>
  <c r="E16" i="17"/>
  <c r="E20" i="17"/>
  <c r="E24" i="17"/>
  <c r="E28" i="17"/>
  <c r="G8" i="17"/>
  <c r="G12" i="17"/>
  <c r="G16" i="17"/>
  <c r="G20" i="17"/>
  <c r="G24" i="17"/>
  <c r="G28" i="17"/>
  <c r="G30" i="17"/>
  <c r="C7" i="17"/>
  <c r="C11" i="17"/>
  <c r="C15" i="17"/>
  <c r="C19" i="17"/>
  <c r="C23" i="17"/>
  <c r="C27" i="17"/>
  <c r="D4" i="17"/>
  <c r="D8" i="17"/>
  <c r="D12" i="17"/>
  <c r="D16" i="17"/>
  <c r="D20" i="17"/>
  <c r="D24" i="17"/>
  <c r="D28" i="17"/>
  <c r="E5" i="17"/>
  <c r="E9" i="17"/>
  <c r="E13" i="17"/>
  <c r="E17" i="17"/>
  <c r="E21" i="17"/>
  <c r="E25" i="17"/>
  <c r="E29" i="17"/>
  <c r="G9" i="17"/>
  <c r="G13" i="17"/>
  <c r="G17" i="17"/>
  <c r="G21" i="17"/>
  <c r="G25" i="17"/>
  <c r="G29" i="17"/>
  <c r="C4" i="17"/>
  <c r="C8" i="17"/>
  <c r="C12" i="17"/>
  <c r="C16" i="17"/>
  <c r="C20" i="17"/>
  <c r="C24" i="17"/>
  <c r="C28" i="17"/>
  <c r="D5" i="17"/>
  <c r="D9" i="17"/>
  <c r="D13" i="17"/>
  <c r="D17" i="17"/>
  <c r="D21" i="17"/>
  <c r="D25" i="17"/>
  <c r="D29" i="17"/>
  <c r="E6" i="17"/>
  <c r="E10" i="17"/>
  <c r="E14" i="17"/>
  <c r="E18" i="17"/>
  <c r="E22" i="17"/>
  <c r="E26" i="17"/>
  <c r="G6" i="17"/>
  <c r="G10" i="17"/>
  <c r="G14" i="17"/>
  <c r="G18" i="17"/>
  <c r="G22" i="17"/>
  <c r="G26" i="17"/>
  <c r="C5" i="17"/>
  <c r="C9" i="17"/>
  <c r="C13" i="17"/>
  <c r="C17" i="17"/>
  <c r="C21" i="17"/>
  <c r="C25" i="17"/>
  <c r="C29" i="17"/>
  <c r="D6" i="17"/>
  <c r="D10" i="17"/>
  <c r="D14" i="17"/>
  <c r="D18" i="17"/>
  <c r="D22" i="17"/>
  <c r="D26" i="17"/>
  <c r="D30" i="17"/>
  <c r="E7" i="17"/>
  <c r="E11" i="17"/>
  <c r="E15" i="17"/>
  <c r="E19" i="17"/>
  <c r="E23" i="17"/>
  <c r="E27" i="17"/>
  <c r="G7" i="17"/>
  <c r="G11" i="17"/>
  <c r="G15" i="17"/>
  <c r="G19" i="17"/>
  <c r="G23" i="17"/>
  <c r="G27" i="17"/>
  <c r="E29" i="13" l="1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1" i="13"/>
  <c r="E10" i="13"/>
  <c r="E9" i="13"/>
  <c r="E8" i="13"/>
  <c r="E7" i="13"/>
  <c r="E5" i="13"/>
  <c r="E4" i="13"/>
  <c r="E3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1" i="13"/>
  <c r="G10" i="13"/>
  <c r="G9" i="13"/>
  <c r="G8" i="13"/>
  <c r="G7" i="13"/>
  <c r="G5" i="13"/>
  <c r="G4" i="13"/>
  <c r="G3" i="13"/>
  <c r="F27" i="17" l="1"/>
  <c r="F29" i="17"/>
  <c r="H30" i="17"/>
  <c r="H27" i="17"/>
  <c r="H26" i="17"/>
  <c r="H29" i="17"/>
  <c r="F13" i="17"/>
  <c r="F24" i="17"/>
  <c r="H4" i="17"/>
  <c r="H9" i="17"/>
  <c r="H5" i="17"/>
  <c r="H21" i="17"/>
  <c r="F20" i="17"/>
  <c r="H20" i="17"/>
  <c r="H22" i="17"/>
  <c r="H18" i="17"/>
  <c r="H14" i="17"/>
  <c r="F18" i="17"/>
  <c r="H7" i="17"/>
  <c r="F28" i="17"/>
  <c r="F12" i="17"/>
  <c r="H28" i="17"/>
  <c r="F4" i="17"/>
  <c r="H25" i="17"/>
  <c r="F25" i="17"/>
  <c r="F10" i="17"/>
  <c r="H10" i="17"/>
  <c r="F21" i="17"/>
  <c r="F9" i="17"/>
  <c r="H11" i="17"/>
  <c r="H6" i="17"/>
  <c r="F30" i="17"/>
  <c r="H15" i="17"/>
  <c r="H12" i="17"/>
  <c r="H16" i="17"/>
  <c r="H17" i="17"/>
  <c r="F19" i="17"/>
  <c r="F23" i="17"/>
  <c r="F8" i="17"/>
  <c r="H19" i="17"/>
  <c r="H23" i="17"/>
  <c r="H8" i="17"/>
  <c r="F22" i="17"/>
  <c r="F26" i="17"/>
  <c r="H13" i="17"/>
  <c r="H24" i="17"/>
  <c r="F14" i="17"/>
  <c r="F11" i="17"/>
  <c r="F17" i="17"/>
  <c r="F6" i="17"/>
  <c r="F15" i="17"/>
  <c r="F16" i="17"/>
  <c r="F7" i="17"/>
  <c r="F5" i="17"/>
  <c r="H3" i="17" l="1"/>
  <c r="G3" i="17"/>
  <c r="F3" i="17"/>
  <c r="E3" i="17"/>
  <c r="D3" i="17"/>
  <c r="C3" i="17"/>
</calcChain>
</file>

<file path=xl/sharedStrings.xml><?xml version="1.0" encoding="utf-8"?>
<sst xmlns="http://schemas.openxmlformats.org/spreadsheetml/2006/main" count="37" uniqueCount="36">
  <si>
    <t>powiaty</t>
  </si>
  <si>
    <t>POLSKA</t>
  </si>
  <si>
    <t>PODKARPACKIE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</si>
  <si>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</si>
  <si>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</si>
  <si>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</si>
  <si>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</si>
  <si>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</si>
  <si>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</si>
  <si>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</t>
  </si>
  <si>
    <t>Powiat leski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</si>
  <si>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</si>
  <si>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</si>
  <si>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</si>
  <si>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</si>
  <si>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</si>
  <si>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</si>
  <si>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</si>
  <si>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</si>
  <si>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</si>
  <si>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</si>
  <si>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</si>
  <si>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</si>
  <si>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</si>
  <si>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m.Krosno</t>
  </si>
  <si>
    <t>Powiat m.Przemyśl</t>
  </si>
  <si>
    <t>Powiat m.Rzeszów</t>
  </si>
  <si>
    <t>Powiat m.Tarnobrzeg</t>
  </si>
  <si>
    <t>wzrost/spadek do poprzedniego miesiąca (pkt. proc.)</t>
  </si>
  <si>
    <t>lokata</t>
  </si>
  <si>
    <t>Stopa bezrobocia rejestrowanego - wg powiatów w województwie podkarpackim</t>
  </si>
  <si>
    <t>wzrost/spadek do początku roku (pkt. proc.)</t>
  </si>
  <si>
    <t>** Dane po korekcie GUS.</t>
  </si>
  <si>
    <t>Stopa bezrobocia stan na 31-01-'26 r. w proc. **</t>
  </si>
  <si>
    <r>
      <t>Stopa bezrobocia stan na 28</t>
    </r>
    <r>
      <rPr>
        <sz val="12"/>
        <color theme="1"/>
        <rFont val="Arial"/>
        <family val="2"/>
        <charset val="238"/>
      </rPr>
      <t xml:space="preserve">-02-'26 </t>
    </r>
    <r>
      <rPr>
        <sz val="11"/>
        <color theme="1"/>
        <rFont val="Arial"/>
        <family val="2"/>
        <charset val="238"/>
      </rPr>
      <t>r. w proc.*</t>
    </r>
  </si>
  <si>
    <r>
      <t>Stopa bezrobocia stan na 28</t>
    </r>
    <r>
      <rPr>
        <sz val="12"/>
        <color theme="1"/>
        <rFont val="Arial"/>
        <family val="2"/>
        <charset val="238"/>
      </rPr>
      <t>-02-'25 r</t>
    </r>
    <r>
      <rPr>
        <sz val="11"/>
        <color theme="1"/>
        <rFont val="Arial"/>
        <family val="2"/>
        <charset val="238"/>
      </rPr>
      <t>. w proc.**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</si>
</sst>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  <fill>
      <patternFill patternType="solid">
        <fgColor rgb="FFD3D3D3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>
      <alignment horizontal="right" vertical="center"/>
    </xf>
    <xf numFmtId="0" fontId="1" fillId="0" borderId="0">
      <alignment horizontal="center" vertical="center"/>
    </xf>
    <xf numFmtId="0" fontId="1" fillId="0" borderId="0">
      <alignment horizontal="left" vertical="center"/>
    </xf>
    <xf numFmtId="0" fontId="11" fillId="5" borderId="2">
      <alignment horizontal="left" vertical="center" wrapText="1"/>
    </xf>
  </cellStyleXfs>
  <cellXfs count="40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6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165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/>
    <xf numFmtId="164" fontId="7" fillId="0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NumberFormat="1" applyFont="1" applyFill="1" applyBorder="1"/>
    <xf numFmtId="165" fontId="6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8" fillId="2" borderId="0" xfId="0" applyFont="1" applyFill="1"/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165" fontId="2" fillId="4" borderId="1" xfId="0" applyNumberFormat="1" applyFont="1" applyFill="1" applyBorder="1" applyAlignment="1">
      <alignment horizontal="center" vertical="center"/>
    </xf>
    <xf numFmtId="15" fontId="2" fillId="3" borderId="1" xfId="0" applyNumberFormat="1" applyFont="1" applyFill="1" applyBorder="1" applyAlignment="1">
      <alignment horizontal="center" vertical="center" wrapText="1"/>
    </xf>
  </cellXfs>
  <cellStyles count="5">
    <cellStyle name="Kolumna" xfId="4" xr:uid="{3E4447A5-8C10-4223-996B-BB0E7BE22279}"/>
    <cellStyle name="Normalny" xfId="0" builtinId="0"/>
    <cellStyle name="S4" xfId="2" xr:uid="{124FFDC3-3E86-4499-8194-8F114FEE6CA4}"/>
    <cellStyle name="S6" xfId="3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FFCC00"/>
      <color rgb="FF0000FF"/>
      <color rgb="FFF8EDEC"/>
      <color rgb="FFF5E4E3"/>
      <color rgb="FFFDE2CB"/>
      <color rgb="FFFABF8F"/>
      <color rgb="FFC49F00"/>
      <color rgb="FFCCFFFF"/>
      <color rgb="FFFFF2B3"/>
      <color rgb="FFFFEE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powiatów w województwie podkarpackim</a:t>
            </a:r>
          </a:p>
        </c:rich>
      </c:tx>
      <c:layout>
        <c:manualLayout>
          <c:xMode val="edge"/>
          <c:yMode val="edge"/>
          <c:x val="0.26647640756234287"/>
          <c:y val="3.423315704094821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435292930213782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'2sort'!$B$1</c:f>
              <c:strCache>
                <c:ptCount val="1"/>
                <c:pt idx="0">
                  <c:v>Stopa bezrobocia rejestrowanego - wg powiatów w województwie podkarpackim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E62-495A-B5ED-EB078D5C989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E62-495A-B5ED-EB078D5C989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E62-495A-B5ED-EB078D5C989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E62-495A-B5ED-EB078D5C989D}"/>
              </c:ext>
            </c:extLst>
          </c:dPt>
          <c:dPt>
            <c:idx val="10"/>
            <c:invertIfNegative val="0"/>
            <c:bubble3D val="0"/>
            <c:spPr>
              <a:solidFill>
                <a:srgbClr val="FFCC00"/>
              </a:solidFill>
              <a:ln w="1270"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60EA-4D34-AC83-A709E21C9E34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E62-495A-B5ED-EB078D5C989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E62-495A-B5ED-EB078D5C989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'2sort'!$C$4:$C$30</c:f>
              <c:strCache>
                <c:ptCount val="27"/>
                <c:pt idx="0">
                  <c:v>Powiat m.Krosno</c:v>
                </c:pt>
                <c:pt idx="1">
                  <c:v>Powiat m.Rzeszów</c:v>
                </c:pt>
                <c:pt idx="2">
                  <c:v>Powiat dębicki</c:v>
                </c:pt>
                <c:pt idx="3">
                  <c:v>POLSKA</c:v>
                </c:pt>
                <c:pt idx="4">
                  <c:v>Powiat mielecki</c:v>
                </c:pt>
                <c:pt idx="5">
                  <c:v>Powiat stalowowolski</c:v>
                </c:pt>
                <c:pt idx="6">
                  <c:v>Powiat rzeszowski</c:v>
                </c:pt>
                <c:pt idx="7">
                  <c:v>Powiat m.Tarnobrzeg</c:v>
                </c:pt>
                <c:pt idx="8">
                  <c:v>Powiat tarnobrzeski</c:v>
                </c:pt>
                <c:pt idx="9">
                  <c:v>Powiat kolbuszowski</c:v>
                </c:pt>
                <c:pt idx="10">
                  <c:v>PODKARPACKIE</c:v>
                </c:pt>
                <c:pt idx="11">
                  <c:v>Powiat sanocki</c:v>
                </c:pt>
                <c:pt idx="12">
                  <c:v>Powiat krośnieński</c:v>
                </c:pt>
                <c:pt idx="13">
                  <c:v>Powiat łańcucki</c:v>
                </c:pt>
                <c:pt idx="14">
                  <c:v>Powiat lubaczowski</c:v>
                </c:pt>
                <c:pt idx="15">
                  <c:v>Powiat m.Przemyśl</c:v>
                </c:pt>
                <c:pt idx="16">
                  <c:v>Powiat ropczycko-sędziszowski</c:v>
                </c:pt>
                <c:pt idx="17">
                  <c:v>Powiat jarosławski</c:v>
                </c:pt>
                <c:pt idx="18">
                  <c:v>Powiat jasielski</c:v>
                </c:pt>
                <c:pt idx="19">
                  <c:v>Powiat przeworski</c:v>
                </c:pt>
                <c:pt idx="20">
                  <c:v>Powiat leżajski</c:v>
                </c:pt>
                <c:pt idx="21">
                  <c:v>Powiat bieszczadzki</c:v>
                </c:pt>
                <c:pt idx="22">
                  <c:v>Powiat niżański</c:v>
                </c:pt>
                <c:pt idx="23">
                  <c:v>Powiat przemyski</c:v>
                </c:pt>
                <c:pt idx="24">
                  <c:v>Powiat strzyżowski</c:v>
                </c:pt>
                <c:pt idx="25">
                  <c:v>Powiat leski</c:v>
                </c:pt>
                <c:pt idx="26">
                  <c:v>Powiat brzozowski</c:v>
                </c:pt>
              </c:strCache>
            </c:strRef>
          </c:cat>
          <c:val>
            <c:numRef>
              <c:f>'2sort'!$D$4:$D$30</c:f>
              <c:numCache>
                <c:formatCode>0.0</c:formatCode>
                <c:ptCount val="27"/>
                <c:pt idx="0">
                  <c:v>4</c:v>
                </c:pt>
                <c:pt idx="1">
                  <c:v>4.5</c:v>
                </c:pt>
                <c:pt idx="2">
                  <c:v>5.6</c:v>
                </c:pt>
                <c:pt idx="3">
                  <c:v>6.1</c:v>
                </c:pt>
                <c:pt idx="4">
                  <c:v>6.2</c:v>
                </c:pt>
                <c:pt idx="5">
                  <c:v>6.5</c:v>
                </c:pt>
                <c:pt idx="6">
                  <c:v>8.1999999999999993</c:v>
                </c:pt>
                <c:pt idx="7">
                  <c:v>8.1999999999999993</c:v>
                </c:pt>
                <c:pt idx="8">
                  <c:v>8.6999999999999993</c:v>
                </c:pt>
                <c:pt idx="9">
                  <c:v>9.1999999999999993</c:v>
                </c:pt>
                <c:pt idx="10">
                  <c:v>9.6</c:v>
                </c:pt>
                <c:pt idx="11">
                  <c:v>9.9</c:v>
                </c:pt>
                <c:pt idx="12">
                  <c:v>10.3</c:v>
                </c:pt>
                <c:pt idx="13">
                  <c:v>10.5</c:v>
                </c:pt>
                <c:pt idx="14">
                  <c:v>11.2</c:v>
                </c:pt>
                <c:pt idx="15">
                  <c:v>11.2</c:v>
                </c:pt>
                <c:pt idx="16">
                  <c:v>11.8</c:v>
                </c:pt>
                <c:pt idx="17">
                  <c:v>12.4</c:v>
                </c:pt>
                <c:pt idx="18">
                  <c:v>14.2</c:v>
                </c:pt>
                <c:pt idx="19">
                  <c:v>14.7</c:v>
                </c:pt>
                <c:pt idx="20">
                  <c:v>15</c:v>
                </c:pt>
                <c:pt idx="21">
                  <c:v>16.899999999999999</c:v>
                </c:pt>
                <c:pt idx="22">
                  <c:v>17</c:v>
                </c:pt>
                <c:pt idx="23">
                  <c:v>17.2</c:v>
                </c:pt>
                <c:pt idx="24">
                  <c:v>18.2</c:v>
                </c:pt>
                <c:pt idx="25">
                  <c:v>20.100000000000001</c:v>
                </c:pt>
                <c:pt idx="26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62-495A-B5ED-EB078D5C9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009920"/>
        <c:axId val="45011712"/>
      </c:barChart>
      <c:catAx>
        <c:axId val="4500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011712"/>
        <c:crosses val="autoZero"/>
        <c:auto val="1"/>
        <c:lblAlgn val="ctr"/>
        <c:lblOffset val="100"/>
        <c:noMultiLvlLbl val="0"/>
      </c:catAx>
      <c:valAx>
        <c:axId val="4501171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009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25400</xdr:colOff>
      <xdr:row>2</xdr:row>
      <xdr:rowOff>3174</xdr:rowOff>
    </xdr:from>
    <xdr:to>
      <xdr:col>21</xdr:col>
      <xdr:colOff>166687</xdr:colOff>
      <xdr:row>29</xdr:row>
      <xdr:rowOff>154781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  <pageSetUpPr fitToPage="1"/>
  </sheetPr>
  <dimension ref="A1:H31"/>
  <sheetViews>
    <sheetView zoomScale="80" zoomScaleNormal="80" workbookViewId="0">
      <selection activeCell="B1" sqref="B1"/>
    </sheetView>
  </sheetViews>
  <sheetFormatPr defaultRowHeight="14.25" x14ac:dyDescent="0.2"/>
  <cols>
    <col min="1" max="1" width="4.42578125" style="12" customWidth="1"/>
    <col min="2" max="2" width="31.5703125" style="2" customWidth="1"/>
    <col min="3" max="3" width="16.7109375" style="2" customWidth="1"/>
    <col min="4" max="5" width="16.28515625" style="2" customWidth="1"/>
    <col min="6" max="6" width="16.85546875" style="2" customWidth="1"/>
    <col min="7" max="7" width="17.140625" style="2" customWidth="1"/>
    <col min="8" max="8" width="4" style="2" customWidth="1"/>
    <col min="9" max="16384" width="9.140625" style="2"/>
  </cols>
  <sheetData>
    <row r="1" spans="1:8" ht="16.5" customHeight="1" x14ac:dyDescent="0.2">
      <c r="B1" s="1" t="s">
        <v>30</v>
      </c>
    </row>
    <row r="2" spans="1:8" ht="71.25" x14ac:dyDescent="0.2">
      <c r="B2" s="27" t="s">
        <v>0</v>
      </c>
      <c r="C2" s="27" t="s">
        <v>34</v>
      </c>
      <c r="D2" s="28" t="s">
        <v>33</v>
      </c>
      <c r="E2" s="27" t="s">
        <v>28</v>
      </c>
      <c r="F2" s="28" t="s">
        <v>35</v>
      </c>
      <c r="G2" s="27" t="s">
        <v>31</v>
      </c>
    </row>
    <row r="3" spans="1:8" ht="15" x14ac:dyDescent="0.2">
      <c r="A3" s="12">
        <v>1</v>
      </c>
      <c r="B3" s="30" t="s">
        <v>1</v>
      </c>
      <c r="C3" s="31">
        <v>6.1</v>
      </c>
      <c r="D3" s="32">
        <v>6</v>
      </c>
      <c r="E3" s="33">
        <f>($C$3)-$D$3</f>
        <v>9.9999999999999645E-2</v>
      </c>
      <c r="F3" s="32">
        <v>5.5</v>
      </c>
      <c r="G3" s="31">
        <f>($C$3)-$F$3</f>
        <v>0.59999999999999964</v>
      </c>
      <c r="H3" s="12"/>
    </row>
    <row r="4" spans="1:8" ht="15" x14ac:dyDescent="0.25">
      <c r="A4" s="12">
        <v>2</v>
      </c>
      <c r="B4" s="34" t="s">
        <v>2</v>
      </c>
      <c r="C4" s="35">
        <v>9.6</v>
      </c>
      <c r="D4" s="32">
        <v>9.6</v>
      </c>
      <c r="E4" s="35">
        <f>($C$4)-$D$4</f>
        <v>0</v>
      </c>
      <c r="F4" s="32">
        <v>9.1</v>
      </c>
      <c r="G4" s="35">
        <f>($C$4)-$F$4</f>
        <v>0.5</v>
      </c>
      <c r="H4" s="12"/>
    </row>
    <row r="5" spans="1:8" x14ac:dyDescent="0.2">
      <c r="A5" s="12">
        <v>3</v>
      </c>
      <c r="B5" s="14" t="s">
        <v>3</v>
      </c>
      <c r="C5" s="15">
        <v>16.899999999999999</v>
      </c>
      <c r="D5" s="36">
        <v>16.7</v>
      </c>
      <c r="E5" s="5">
        <f>($C$5)-$D$5</f>
        <v>0.19999999999999929</v>
      </c>
      <c r="F5" s="36">
        <v>17</v>
      </c>
      <c r="G5" s="5">
        <f>($C$5)-$F$5</f>
        <v>-0.10000000000000142</v>
      </c>
      <c r="H5" s="12"/>
    </row>
    <row r="6" spans="1:8" x14ac:dyDescent="0.2">
      <c r="A6" s="12">
        <v>4</v>
      </c>
      <c r="B6" s="14" t="s">
        <v>4</v>
      </c>
      <c r="C6" s="15">
        <v>21</v>
      </c>
      <c r="D6" s="36">
        <v>21</v>
      </c>
      <c r="E6" s="5">
        <f>($C$6)-$D$6</f>
        <v>0</v>
      </c>
      <c r="F6" s="36">
        <v>21.5</v>
      </c>
      <c r="G6" s="5">
        <f>($C$6)-$F$6</f>
        <v>-0.5</v>
      </c>
      <c r="H6" s="12"/>
    </row>
    <row r="7" spans="1:8" x14ac:dyDescent="0.2">
      <c r="A7" s="12">
        <v>5</v>
      </c>
      <c r="B7" s="14" t="s">
        <v>5</v>
      </c>
      <c r="C7" s="15">
        <v>5.6</v>
      </c>
      <c r="D7" s="36">
        <v>5.6</v>
      </c>
      <c r="E7" s="5">
        <f>($C$7)-$D$7</f>
        <v>0</v>
      </c>
      <c r="F7" s="36">
        <v>4.8</v>
      </c>
      <c r="G7" s="5">
        <f>($C$7)-$F$7</f>
        <v>0.79999999999999982</v>
      </c>
      <c r="H7" s="12"/>
    </row>
    <row r="8" spans="1:8" x14ac:dyDescent="0.2">
      <c r="A8" s="12">
        <v>6</v>
      </c>
      <c r="B8" s="14" t="s">
        <v>6</v>
      </c>
      <c r="C8" s="15">
        <v>12.4</v>
      </c>
      <c r="D8" s="36">
        <v>12.2</v>
      </c>
      <c r="E8" s="5">
        <f>($C$8)-$D$8</f>
        <v>0.20000000000000107</v>
      </c>
      <c r="F8" s="36">
        <v>12.2</v>
      </c>
      <c r="G8" s="5">
        <f>($C$8)-$F$8</f>
        <v>0.20000000000000107</v>
      </c>
      <c r="H8" s="12"/>
    </row>
    <row r="9" spans="1:8" x14ac:dyDescent="0.2">
      <c r="A9" s="12">
        <v>7</v>
      </c>
      <c r="B9" s="14" t="s">
        <v>7</v>
      </c>
      <c r="C9" s="15">
        <v>14.2</v>
      </c>
      <c r="D9" s="36">
        <v>14.1</v>
      </c>
      <c r="E9" s="5">
        <f>($C$9)-$D$9</f>
        <v>9.9999999999999645E-2</v>
      </c>
      <c r="F9" s="36">
        <v>13.4</v>
      </c>
      <c r="G9" s="5">
        <f>($C$9)-$F$9</f>
        <v>0.79999999999999893</v>
      </c>
      <c r="H9" s="12"/>
    </row>
    <row r="10" spans="1:8" x14ac:dyDescent="0.2">
      <c r="A10" s="12">
        <v>8</v>
      </c>
      <c r="B10" s="14" t="s">
        <v>8</v>
      </c>
      <c r="C10" s="15">
        <v>9.1999999999999993</v>
      </c>
      <c r="D10" s="36">
        <v>9.1999999999999993</v>
      </c>
      <c r="E10" s="5">
        <f>($C$10)-$D$10</f>
        <v>0</v>
      </c>
      <c r="F10" s="36">
        <v>8.6</v>
      </c>
      <c r="G10" s="5">
        <f>($C$10)-$F$10</f>
        <v>0.59999999999999964</v>
      </c>
      <c r="H10" s="12"/>
    </row>
    <row r="11" spans="1:8" x14ac:dyDescent="0.2">
      <c r="A11" s="12">
        <v>9</v>
      </c>
      <c r="B11" s="14" t="s">
        <v>9</v>
      </c>
      <c r="C11" s="15">
        <v>10.3</v>
      </c>
      <c r="D11" s="36">
        <v>10.4</v>
      </c>
      <c r="E11" s="5">
        <f>($C$11)-$D$11</f>
        <v>-9.9999999999999645E-2</v>
      </c>
      <c r="F11" s="36">
        <v>9.6999999999999993</v>
      </c>
      <c r="G11" s="5">
        <f>($C$11)-$F$11</f>
        <v>0.60000000000000142</v>
      </c>
      <c r="H11" s="12"/>
    </row>
    <row r="12" spans="1:8" ht="15" x14ac:dyDescent="0.25">
      <c r="A12" s="12">
        <v>10</v>
      </c>
      <c r="B12" s="16" t="s">
        <v>10</v>
      </c>
      <c r="C12" s="17">
        <v>20.100000000000001</v>
      </c>
      <c r="D12" s="32">
        <v>20.3</v>
      </c>
      <c r="E12" s="18">
        <f>($C$12)-$D$12</f>
        <v>-0.19999999999999929</v>
      </c>
      <c r="F12" s="32">
        <v>19.8</v>
      </c>
      <c r="G12" s="18">
        <f>($C$12)-$F$12</f>
        <v>0.30000000000000071</v>
      </c>
      <c r="H12" s="13"/>
    </row>
    <row r="13" spans="1:8" x14ac:dyDescent="0.2">
      <c r="A13" s="12">
        <v>11</v>
      </c>
      <c r="B13" s="14" t="s">
        <v>11</v>
      </c>
      <c r="C13" s="15">
        <v>15</v>
      </c>
      <c r="D13" s="36">
        <v>14.7</v>
      </c>
      <c r="E13" s="5">
        <f>($C$13)-$D$13</f>
        <v>0.30000000000000071</v>
      </c>
      <c r="F13" s="36">
        <v>14.9</v>
      </c>
      <c r="G13" s="5">
        <f>($C$13)-$F$13</f>
        <v>9.9999999999999645E-2</v>
      </c>
      <c r="H13" s="12"/>
    </row>
    <row r="14" spans="1:8" x14ac:dyDescent="0.2">
      <c r="A14" s="12">
        <v>12</v>
      </c>
      <c r="B14" s="14" t="s">
        <v>12</v>
      </c>
      <c r="C14" s="15">
        <v>11.2</v>
      </c>
      <c r="D14" s="36">
        <v>11.2</v>
      </c>
      <c r="E14" s="5">
        <f>($C$14)-$D$14</f>
        <v>0</v>
      </c>
      <c r="F14" s="36">
        <v>10.6</v>
      </c>
      <c r="G14" s="5">
        <f>($C$14)-$F$14</f>
        <v>0.59999999999999964</v>
      </c>
      <c r="H14" s="12"/>
    </row>
    <row r="15" spans="1:8" x14ac:dyDescent="0.2">
      <c r="A15" s="12">
        <v>13</v>
      </c>
      <c r="B15" s="14" t="s">
        <v>13</v>
      </c>
      <c r="C15" s="15">
        <v>10.5</v>
      </c>
      <c r="D15" s="36">
        <v>10.4</v>
      </c>
      <c r="E15" s="5">
        <f>($C$15)-$D$15</f>
        <v>9.9999999999999645E-2</v>
      </c>
      <c r="F15" s="36">
        <v>9.9</v>
      </c>
      <c r="G15" s="5">
        <f>($C$15)-$F$15</f>
        <v>0.59999999999999964</v>
      </c>
      <c r="H15" s="12"/>
    </row>
    <row r="16" spans="1:8" x14ac:dyDescent="0.2">
      <c r="A16" s="12">
        <v>14</v>
      </c>
      <c r="B16" s="14" t="s">
        <v>14</v>
      </c>
      <c r="C16" s="15">
        <v>6.2</v>
      </c>
      <c r="D16" s="36">
        <v>6.2</v>
      </c>
      <c r="E16" s="5">
        <f>($C$16)-$D$16</f>
        <v>0</v>
      </c>
      <c r="F16" s="36">
        <v>5.6</v>
      </c>
      <c r="G16" s="5">
        <f>($C$16)-$F$16</f>
        <v>0.60000000000000053</v>
      </c>
      <c r="H16" s="12"/>
    </row>
    <row r="17" spans="1:8" x14ac:dyDescent="0.2">
      <c r="A17" s="12">
        <v>15</v>
      </c>
      <c r="B17" s="14" t="s">
        <v>15</v>
      </c>
      <c r="C17" s="15">
        <v>17</v>
      </c>
      <c r="D17" s="36">
        <v>17.100000000000001</v>
      </c>
      <c r="E17" s="5">
        <f>($C$17)-$D$17</f>
        <v>-0.10000000000000142</v>
      </c>
      <c r="F17" s="36">
        <v>17.2</v>
      </c>
      <c r="G17" s="5">
        <f>($C$17)-$F$17</f>
        <v>-0.19999999999999929</v>
      </c>
      <c r="H17" s="12"/>
    </row>
    <row r="18" spans="1:8" x14ac:dyDescent="0.2">
      <c r="A18" s="12">
        <v>16</v>
      </c>
      <c r="B18" s="14" t="s">
        <v>16</v>
      </c>
      <c r="C18" s="15">
        <v>17.2</v>
      </c>
      <c r="D18" s="36">
        <v>17.2</v>
      </c>
      <c r="E18" s="5">
        <f>($C$18)-$D$18</f>
        <v>0</v>
      </c>
      <c r="F18" s="36">
        <v>16.5</v>
      </c>
      <c r="G18" s="5">
        <f>($C$18)-$F$18</f>
        <v>0.69999999999999929</v>
      </c>
      <c r="H18" s="12"/>
    </row>
    <row r="19" spans="1:8" x14ac:dyDescent="0.2">
      <c r="A19" s="12">
        <v>17</v>
      </c>
      <c r="B19" s="14" t="s">
        <v>17</v>
      </c>
      <c r="C19" s="15">
        <v>14.7</v>
      </c>
      <c r="D19" s="36">
        <v>14.8</v>
      </c>
      <c r="E19" s="5">
        <f>($C$19)-$D$19</f>
        <v>-0.10000000000000142</v>
      </c>
      <c r="F19" s="36">
        <v>13.7</v>
      </c>
      <c r="G19" s="5">
        <f>($C$19)-$F$19</f>
        <v>1</v>
      </c>
      <c r="H19" s="12"/>
    </row>
    <row r="20" spans="1:8" x14ac:dyDescent="0.2">
      <c r="A20" s="12">
        <v>18</v>
      </c>
      <c r="B20" s="14" t="s">
        <v>18</v>
      </c>
      <c r="C20" s="15">
        <v>11.8</v>
      </c>
      <c r="D20" s="36">
        <v>12</v>
      </c>
      <c r="E20" s="5">
        <f>($C$20)-$D$20</f>
        <v>-0.19999999999999929</v>
      </c>
      <c r="F20" s="36">
        <v>11.1</v>
      </c>
      <c r="G20" s="5">
        <f>($C$20)-$F$20</f>
        <v>0.70000000000000107</v>
      </c>
      <c r="H20" s="12"/>
    </row>
    <row r="21" spans="1:8" x14ac:dyDescent="0.2">
      <c r="A21" s="12">
        <v>19</v>
      </c>
      <c r="B21" s="14" t="s">
        <v>19</v>
      </c>
      <c r="C21" s="15">
        <v>8.1999999999999993</v>
      </c>
      <c r="D21" s="36">
        <v>8.1999999999999993</v>
      </c>
      <c r="E21" s="5">
        <f>($C$21)-$D$21</f>
        <v>0</v>
      </c>
      <c r="F21" s="36">
        <v>7.6</v>
      </c>
      <c r="G21" s="5">
        <f>($C$21)-$F$21</f>
        <v>0.59999999999999964</v>
      </c>
      <c r="H21" s="12"/>
    </row>
    <row r="22" spans="1:8" x14ac:dyDescent="0.2">
      <c r="A22" s="12">
        <v>20</v>
      </c>
      <c r="B22" s="14" t="s">
        <v>20</v>
      </c>
      <c r="C22" s="15">
        <v>9.9</v>
      </c>
      <c r="D22" s="36">
        <v>9.9</v>
      </c>
      <c r="E22" s="5">
        <f>($C$22)-$D$22</f>
        <v>0</v>
      </c>
      <c r="F22" s="36">
        <v>9.5</v>
      </c>
      <c r="G22" s="5">
        <f>($C$22)-$F$22</f>
        <v>0.40000000000000036</v>
      </c>
      <c r="H22" s="12"/>
    </row>
    <row r="23" spans="1:8" x14ac:dyDescent="0.2">
      <c r="A23" s="12">
        <v>21</v>
      </c>
      <c r="B23" s="14" t="s">
        <v>21</v>
      </c>
      <c r="C23" s="15">
        <v>6.5</v>
      </c>
      <c r="D23" s="36">
        <v>6.5</v>
      </c>
      <c r="E23" s="5">
        <f>($C$23)-$D$23</f>
        <v>0</v>
      </c>
      <c r="F23" s="36">
        <v>5.9</v>
      </c>
      <c r="G23" s="5">
        <f>($C$23)-$F$23</f>
        <v>0.59999999999999964</v>
      </c>
      <c r="H23" s="12"/>
    </row>
    <row r="24" spans="1:8" x14ac:dyDescent="0.2">
      <c r="A24" s="12">
        <v>22</v>
      </c>
      <c r="B24" s="14" t="s">
        <v>22</v>
      </c>
      <c r="C24" s="15">
        <v>18.2</v>
      </c>
      <c r="D24" s="36">
        <v>18.3</v>
      </c>
      <c r="E24" s="5">
        <f>($C$24)-$D$24</f>
        <v>-0.10000000000000142</v>
      </c>
      <c r="F24" s="36">
        <v>17.7</v>
      </c>
      <c r="G24" s="5">
        <f>($C$24)-$F$24</f>
        <v>0.5</v>
      </c>
      <c r="H24" s="12"/>
    </row>
    <row r="25" spans="1:8" x14ac:dyDescent="0.2">
      <c r="A25" s="12">
        <v>23</v>
      </c>
      <c r="B25" s="14" t="s">
        <v>23</v>
      </c>
      <c r="C25" s="15">
        <v>8.6999999999999993</v>
      </c>
      <c r="D25" s="36">
        <v>8.8000000000000007</v>
      </c>
      <c r="E25" s="5">
        <f>($C$25)-$D$25</f>
        <v>-0.10000000000000142</v>
      </c>
      <c r="F25" s="36">
        <v>8</v>
      </c>
      <c r="G25" s="5">
        <f>($C$25)-$F$25</f>
        <v>0.69999999999999929</v>
      </c>
      <c r="H25" s="12"/>
    </row>
    <row r="26" spans="1:8" x14ac:dyDescent="0.2">
      <c r="A26" s="12">
        <v>24</v>
      </c>
      <c r="B26" s="14" t="s">
        <v>24</v>
      </c>
      <c r="C26" s="19">
        <v>4</v>
      </c>
      <c r="D26" s="36">
        <v>4</v>
      </c>
      <c r="E26" s="5">
        <f>($C$26)-$D$26</f>
        <v>0</v>
      </c>
      <c r="F26" s="36">
        <v>3.4</v>
      </c>
      <c r="G26" s="5">
        <f>($C$26)-$F$26</f>
        <v>0.60000000000000009</v>
      </c>
      <c r="H26" s="12"/>
    </row>
    <row r="27" spans="1:8" x14ac:dyDescent="0.2">
      <c r="A27" s="12">
        <v>25</v>
      </c>
      <c r="B27" s="14" t="s">
        <v>25</v>
      </c>
      <c r="C27" s="15">
        <v>11.2</v>
      </c>
      <c r="D27" s="36">
        <v>10.9</v>
      </c>
      <c r="E27" s="5">
        <f>($C$27)-$D$27</f>
        <v>0.29999999999999893</v>
      </c>
      <c r="F27" s="36">
        <v>10.5</v>
      </c>
      <c r="G27" s="5">
        <f>($C$27)-$F$27</f>
        <v>0.69999999999999929</v>
      </c>
      <c r="H27" s="12"/>
    </row>
    <row r="28" spans="1:8" x14ac:dyDescent="0.2">
      <c r="A28" s="12">
        <v>26</v>
      </c>
      <c r="B28" s="14" t="s">
        <v>26</v>
      </c>
      <c r="C28" s="15">
        <v>4.5</v>
      </c>
      <c r="D28" s="36">
        <v>4.4000000000000004</v>
      </c>
      <c r="E28" s="5">
        <f>($C$28)-$D$28</f>
        <v>9.9999999999999645E-2</v>
      </c>
      <c r="F28" s="36">
        <v>4.0999999999999996</v>
      </c>
      <c r="G28" s="5">
        <f>($C$28)-$F$28</f>
        <v>0.40000000000000036</v>
      </c>
      <c r="H28" s="12"/>
    </row>
    <row r="29" spans="1:8" x14ac:dyDescent="0.2">
      <c r="A29" s="12">
        <v>27</v>
      </c>
      <c r="B29" s="14" t="s">
        <v>27</v>
      </c>
      <c r="C29" s="15">
        <v>8.1999999999999993</v>
      </c>
      <c r="D29" s="38">
        <v>8.1999999999999993</v>
      </c>
      <c r="E29" s="5">
        <f>($C$29)-$D$29</f>
        <v>0</v>
      </c>
      <c r="F29" s="36">
        <v>7.4</v>
      </c>
      <c r="G29" s="5">
        <f>($C$29)-$F$29</f>
        <v>0.79999999999999893</v>
      </c>
      <c r="H29" s="12"/>
    </row>
    <row r="30" spans="1:8" x14ac:dyDescent="0.2">
      <c r="B30" s="25" t="s">
        <v>32</v>
      </c>
      <c r="E30" s="13"/>
    </row>
    <row r="31" spans="1:8" x14ac:dyDescent="0.2">
      <c r="B31" s="37"/>
    </row>
  </sheetData>
  <printOptions horizontalCentered="1"/>
  <pageMargins left="0" right="0" top="0.70866141732283472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EE9B"/>
    <pageSetUpPr fitToPage="1"/>
  </sheetPr>
  <dimension ref="A1:H32"/>
  <sheetViews>
    <sheetView tabSelected="1" zoomScale="80" zoomScaleNormal="80" workbookViewId="0">
      <selection activeCell="B1" sqref="B1"/>
    </sheetView>
  </sheetViews>
  <sheetFormatPr defaultRowHeight="14.25" x14ac:dyDescent="0.2"/>
  <cols>
    <col min="1" max="1" width="4" style="12" customWidth="1"/>
    <col min="2" max="2" width="7" style="2" customWidth="1"/>
    <col min="3" max="3" width="32.140625" style="2" customWidth="1"/>
    <col min="4" max="4" width="15.5703125" style="2" customWidth="1"/>
    <col min="5" max="5" width="15.28515625" style="2" customWidth="1"/>
    <col min="6" max="6" width="17.28515625" style="2" customWidth="1"/>
    <col min="7" max="7" width="15.7109375" style="2" customWidth="1"/>
    <col min="8" max="8" width="18.28515625" style="2" customWidth="1"/>
    <col min="9" max="17" width="9.140625" style="2"/>
    <col min="18" max="18" width="3.5703125" style="2" customWidth="1"/>
    <col min="19" max="16384" width="9.140625" style="2"/>
  </cols>
  <sheetData>
    <row r="1" spans="1:8" x14ac:dyDescent="0.2">
      <c r="B1" s="1" t="s">
        <v>30</v>
      </c>
    </row>
    <row r="2" spans="1:8" ht="15" x14ac:dyDescent="0.2">
      <c r="C2" s="7"/>
      <c r="D2" s="8"/>
    </row>
    <row r="3" spans="1:8" ht="71.25" x14ac:dyDescent="0.2">
      <c r="B3" s="29" t="s">
        <v>29</v>
      </c>
      <c r="C3" s="26" t="str">
        <f>T('2s.bezr.pow.'!B2)</f>
        <v>powiaty</v>
      </c>
      <c r="D3" s="26" t="str">
        <f>T('2s.bezr.pow.'!C2)</f>
        <v>Stopa bezrobocia stan na 28-02-'26 r. w proc.*</v>
      </c>
      <c r="E3" s="26" t="str">
        <f>T('2s.bezr.pow.'!D2)</f>
        <v>Stopa bezrobocia stan na 31-01-'26 r. w proc. **</v>
      </c>
      <c r="F3" s="26" t="str">
        <f>T('2s.bezr.pow.'!E2)</f>
        <v>wzrost/spadek do poprzedniego miesiąca (pkt. proc.)</v>
      </c>
      <c r="G3" s="39" t="str">
        <f>T('2s.bezr.pow.'!F2)</f>
        <v>Stopa bezrobocia stan na 28-02-'25 r. w proc.**</v>
      </c>
      <c r="H3" s="26" t="str">
        <f>T('2s.bezr.pow.'!G2)</f>
        <v>wzrost/spadek do początku roku (pkt. proc.)</v>
      </c>
    </row>
    <row r="4" spans="1:8" x14ac:dyDescent="0.2">
      <c r="A4" s="12">
        <v>1</v>
      </c>
      <c r="B4" s="4">
        <f>RANK('2s.bezr.pow.'!C3,'2s.bezr.pow.'!$C$3:'2s.bezr.pow.'!$C$29,1)+COUNTIF('2s.bezr.pow.'!$C$3:'2s.bezr.pow.'!C3,'2s.bezr.pow.'!C3)-1</f>
        <v>4</v>
      </c>
      <c r="C4" s="20" t="str">
        <f>INDEX('2s.bezr.pow.'!B3:G29,MATCH(1,B4:B30,0),1)</f>
        <v>Powiat m.Krosno</v>
      </c>
      <c r="D4" s="13">
        <f>INDEX('2s.bezr.pow.'!B3:G29,MATCH(1,B4:B30,0),2)</f>
        <v>4</v>
      </c>
      <c r="E4" s="36">
        <f>INDEX('2s.bezr.pow.'!B3:G29,MATCH(1,B4:B30,0),3)</f>
        <v>4</v>
      </c>
      <c r="F4" s="11">
        <f>INDEX('2s.bezr.pow.'!B3:G29,MATCH(1,B4:B30,0),4)</f>
        <v>0</v>
      </c>
      <c r="G4" s="36">
        <f>INDEX('2s.bezr.pow.'!B3:G29,MATCH(1,B4:B30,0),5)</f>
        <v>3.4</v>
      </c>
      <c r="H4" s="11">
        <f>INDEX('2s.bezr.pow.'!B3:G29,MATCH(1,B4:B30,0),6)</f>
        <v>0.60000000000000009</v>
      </c>
    </row>
    <row r="5" spans="1:8" x14ac:dyDescent="0.2">
      <c r="A5" s="12">
        <v>2</v>
      </c>
      <c r="B5" s="4">
        <f>RANK('2s.bezr.pow.'!C4,'2s.bezr.pow.'!$C$3:'2s.bezr.pow.'!$C$29,1)+COUNTIF('2s.bezr.pow.'!$C$3:'2s.bezr.pow.'!C4,'2s.bezr.pow.'!C4)-1</f>
        <v>11</v>
      </c>
      <c r="C5" s="3" t="str">
        <f>INDEX('2s.bezr.pow.'!B3:G29,MATCH(2,B4:B30,0),1)</f>
        <v>Powiat m.Rzeszów</v>
      </c>
      <c r="D5" s="5">
        <f>INDEX('2s.bezr.pow.'!B3:G29,MATCH(2,B4:B30,0),2)</f>
        <v>4.5</v>
      </c>
      <c r="E5" s="36">
        <f>INDEX('2s.bezr.pow.'!B3:G29,MATCH(2,B4:B30,0),3)</f>
        <v>4.4000000000000004</v>
      </c>
      <c r="F5" s="11">
        <f>INDEX('2s.bezr.pow.'!B3:G29,MATCH(2,B4:B30,0),4)</f>
        <v>9.9999999999999645E-2</v>
      </c>
      <c r="G5" s="36">
        <f>INDEX('2s.bezr.pow.'!B3:G29,MATCH(2,B4:B30,0),5)</f>
        <v>4.0999999999999996</v>
      </c>
      <c r="H5" s="11">
        <f>INDEX('2s.bezr.pow.'!B3:G29,MATCH(2,B4:B30,0),6)</f>
        <v>0.40000000000000036</v>
      </c>
    </row>
    <row r="6" spans="1:8" x14ac:dyDescent="0.2">
      <c r="A6" s="12">
        <v>3</v>
      </c>
      <c r="B6" s="4">
        <f>RANK('2s.bezr.pow.'!C5,'2s.bezr.pow.'!$C$3:'2s.bezr.pow.'!$C$29,1)+COUNTIF('2s.bezr.pow.'!$C$3:'2s.bezr.pow.'!C5,'2s.bezr.pow.'!C5)-1</f>
        <v>22</v>
      </c>
      <c r="C6" s="3" t="str">
        <f>INDEX('2s.bezr.pow.'!B3:G29,MATCH(3,B4:B30,0),1)</f>
        <v>Powiat dębicki</v>
      </c>
      <c r="D6" s="5">
        <f>INDEX('2s.bezr.pow.'!B3:G29,MATCH(3,B4:B30,0),2)</f>
        <v>5.6</v>
      </c>
      <c r="E6" s="36">
        <f>INDEX('2s.bezr.pow.'!B3:G29,MATCH(3,B4:B30,0),3)</f>
        <v>5.6</v>
      </c>
      <c r="F6" s="11">
        <f>INDEX('2s.bezr.pow.'!B3:G29,MATCH(3,B4:B30,0),4)</f>
        <v>0</v>
      </c>
      <c r="G6" s="36">
        <f>INDEX('2s.bezr.pow.'!B3:G29,MATCH(3,B4:B30,0),5)</f>
        <v>4.8</v>
      </c>
      <c r="H6" s="11">
        <f>INDEX('2s.bezr.pow.'!B3:G29,MATCH(3,B4:B30,0),6)</f>
        <v>0.79999999999999982</v>
      </c>
    </row>
    <row r="7" spans="1:8" x14ac:dyDescent="0.2">
      <c r="A7" s="12">
        <v>4</v>
      </c>
      <c r="B7" s="4">
        <f>RANK('2s.bezr.pow.'!C6,'2s.bezr.pow.'!$C$3:'2s.bezr.pow.'!$C$29,1)+COUNTIF('2s.bezr.pow.'!$C$3:'2s.bezr.pow.'!C6,'2s.bezr.pow.'!C6)-1</f>
        <v>27</v>
      </c>
      <c r="C7" s="3" t="str">
        <f>INDEX('2s.bezr.pow.'!B3:G29,MATCH(4,B4:B30,0),1)</f>
        <v>POLSKA</v>
      </c>
      <c r="D7" s="5">
        <f>INDEX('2s.bezr.pow.'!B3:G29,MATCH(4,B4:B30,0),2)</f>
        <v>6.1</v>
      </c>
      <c r="E7" s="36">
        <f>INDEX('2s.bezr.pow.'!B3:G29,MATCH(4,B4:B30,0),3)</f>
        <v>6</v>
      </c>
      <c r="F7" s="11">
        <f>INDEX('2s.bezr.pow.'!B3:G29,MATCH(4,B4:B30,0),4)</f>
        <v>9.9999999999999645E-2</v>
      </c>
      <c r="G7" s="36">
        <f>INDEX('2s.bezr.pow.'!B3:G29,MATCH(4,B4:B30,0),5)</f>
        <v>5.5</v>
      </c>
      <c r="H7" s="11">
        <f>INDEX('2s.bezr.pow.'!B3:G29,MATCH(4,B4:B30,0),6)</f>
        <v>0.59999999999999964</v>
      </c>
    </row>
    <row r="8" spans="1:8" x14ac:dyDescent="0.2">
      <c r="A8" s="12">
        <v>5</v>
      </c>
      <c r="B8" s="4">
        <f>RANK('2s.bezr.pow.'!C7,'2s.bezr.pow.'!$C$3:'2s.bezr.pow.'!$C$29,1)+COUNTIF('2s.bezr.pow.'!$C$3:'2s.bezr.pow.'!C7,'2s.bezr.pow.'!C7)-1</f>
        <v>3</v>
      </c>
      <c r="C8" s="3" t="str">
        <f>INDEX('2s.bezr.pow.'!B3:G29,MATCH(5,B4:B30,0),1)</f>
        <v>Powiat mielecki</v>
      </c>
      <c r="D8" s="5">
        <f>INDEX('2s.bezr.pow.'!B3:G29,MATCH(5,B4:B30,0),2)</f>
        <v>6.2</v>
      </c>
      <c r="E8" s="36">
        <f>INDEX('2s.bezr.pow.'!B3:G29,MATCH(5,B4:B30,0),3)</f>
        <v>6.2</v>
      </c>
      <c r="F8" s="11">
        <f>INDEX('2s.bezr.pow.'!B3:G29,MATCH(5,B4:B30,0),4)</f>
        <v>0</v>
      </c>
      <c r="G8" s="36">
        <f>INDEX('2s.bezr.pow.'!B3:G29,MATCH(5,B4:B30,0),5)</f>
        <v>5.6</v>
      </c>
      <c r="H8" s="11">
        <f>INDEX('2s.bezr.pow.'!B3:G29,MATCH(5,B4:B30,0),6)</f>
        <v>0.60000000000000053</v>
      </c>
    </row>
    <row r="9" spans="1:8" x14ac:dyDescent="0.2">
      <c r="A9" s="12">
        <v>6</v>
      </c>
      <c r="B9" s="4">
        <f>RANK('2s.bezr.pow.'!C8,'2s.bezr.pow.'!$C$3:'2s.bezr.pow.'!$C$29,1)+COUNTIF('2s.bezr.pow.'!$C$3:'2s.bezr.pow.'!C8,'2s.bezr.pow.'!C8)-1</f>
        <v>18</v>
      </c>
      <c r="C9" s="3" t="str">
        <f>INDEX('2s.bezr.pow.'!B3:G29,MATCH(6,B4:B30,0),1)</f>
        <v>Powiat stalowowolski</v>
      </c>
      <c r="D9" s="5">
        <f>INDEX('2s.bezr.pow.'!B3:G29,MATCH(6,B4:B30,0),2)</f>
        <v>6.5</v>
      </c>
      <c r="E9" s="36">
        <f>INDEX('2s.bezr.pow.'!B3:G29,MATCH(6,B4:B30,0),3)</f>
        <v>6.5</v>
      </c>
      <c r="F9" s="11">
        <f>INDEX('2s.bezr.pow.'!B3:G29,MATCH(6,B4:B30,0),4)</f>
        <v>0</v>
      </c>
      <c r="G9" s="36">
        <f>INDEX('2s.bezr.pow.'!B3:G29,MATCH(6,B4:B30,0),5)</f>
        <v>5.9</v>
      </c>
      <c r="H9" s="11">
        <f>INDEX('2s.bezr.pow.'!B3:G29,MATCH(6,B4:B30,0),6)</f>
        <v>0.59999999999999964</v>
      </c>
    </row>
    <row r="10" spans="1:8" x14ac:dyDescent="0.2">
      <c r="A10" s="12">
        <v>7</v>
      </c>
      <c r="B10" s="4">
        <f>RANK('2s.bezr.pow.'!C9,'2s.bezr.pow.'!$C$3:'2s.bezr.pow.'!$C$29,1)+COUNTIF('2s.bezr.pow.'!$C$3:'2s.bezr.pow.'!C9,'2s.bezr.pow.'!C9)-1</f>
        <v>19</v>
      </c>
      <c r="C10" s="6" t="str">
        <f>INDEX('2s.bezr.pow.'!B3:G29,MATCH(7,B4:B30,0),1)</f>
        <v>Powiat rzeszowski</v>
      </c>
      <c r="D10" s="5">
        <f>INDEX('2s.bezr.pow.'!B3:G29,MATCH(7,B4:B30,0),2)</f>
        <v>8.1999999999999993</v>
      </c>
      <c r="E10" s="36">
        <f>INDEX('2s.bezr.pow.'!B3:G29,MATCH(7,B4:B30,0),3)</f>
        <v>8.1999999999999993</v>
      </c>
      <c r="F10" s="11">
        <f>INDEX('2s.bezr.pow.'!B3:G29,MATCH(7,B4:B30,0),4)</f>
        <v>0</v>
      </c>
      <c r="G10" s="36">
        <f>INDEX('2s.bezr.pow.'!B3:G29,MATCH(7,B4:B30,0),5)</f>
        <v>7.6</v>
      </c>
      <c r="H10" s="11">
        <f>INDEX('2s.bezr.pow.'!B3:G29,MATCH(7,B4:B30,0),6)</f>
        <v>0.59999999999999964</v>
      </c>
    </row>
    <row r="11" spans="1:8" x14ac:dyDescent="0.2">
      <c r="A11" s="12">
        <v>8</v>
      </c>
      <c r="B11" s="4">
        <f>RANK('2s.bezr.pow.'!C10,'2s.bezr.pow.'!$C$3:'2s.bezr.pow.'!$C$29,1)+COUNTIF('2s.bezr.pow.'!$C$3:'2s.bezr.pow.'!C10,'2s.bezr.pow.'!C10)-1</f>
        <v>10</v>
      </c>
      <c r="C11" s="3" t="str">
        <f>INDEX('2s.bezr.pow.'!B3:G29,MATCH(8,B4:B30,0),1)</f>
        <v>Powiat m.Tarnobrzeg</v>
      </c>
      <c r="D11" s="5">
        <f>INDEX('2s.bezr.pow.'!B3:G29,MATCH(8,B4:B30,0),2)</f>
        <v>8.1999999999999993</v>
      </c>
      <c r="E11" s="36">
        <f>INDEX('2s.bezr.pow.'!B3:G29,MATCH(8,B4:B30,0),3)</f>
        <v>8.1999999999999993</v>
      </c>
      <c r="F11" s="11">
        <f>INDEX('2s.bezr.pow.'!B3:G29,MATCH(8,B4:B30,0),4)</f>
        <v>0</v>
      </c>
      <c r="G11" s="36">
        <f>INDEX('2s.bezr.pow.'!B3:G29,MATCH(8,B4:B30,0),5)</f>
        <v>7.4</v>
      </c>
      <c r="H11" s="11">
        <f>INDEX('2s.bezr.pow.'!B3:G29,MATCH(8,B4:B30,0),6)</f>
        <v>0.79999999999999893</v>
      </c>
    </row>
    <row r="12" spans="1:8" x14ac:dyDescent="0.2">
      <c r="A12" s="12">
        <v>9</v>
      </c>
      <c r="B12" s="4">
        <f>RANK('2s.bezr.pow.'!C11,'2s.bezr.pow.'!$C$3:'2s.bezr.pow.'!$C$29,1)+COUNTIF('2s.bezr.pow.'!$C$3:'2s.bezr.pow.'!C11,'2s.bezr.pow.'!C11)-1</f>
        <v>13</v>
      </c>
      <c r="C12" s="3" t="str">
        <f>INDEX('2s.bezr.pow.'!B3:G29,MATCH(9,B4:B30,0),1)</f>
        <v>Powiat tarnobrzeski</v>
      </c>
      <c r="D12" s="5">
        <f>INDEX('2s.bezr.pow.'!B3:G29,MATCH(9,B4:B30,0),2)</f>
        <v>8.6999999999999993</v>
      </c>
      <c r="E12" s="36">
        <f>INDEX('2s.bezr.pow.'!B3:G29,MATCH(9,B4:B30,0),3)</f>
        <v>8.8000000000000007</v>
      </c>
      <c r="F12" s="11">
        <f>INDEX('2s.bezr.pow.'!B3:G29,MATCH(9,B4:B30,0),4)</f>
        <v>-0.10000000000000142</v>
      </c>
      <c r="G12" s="36">
        <f>INDEX('2s.bezr.pow.'!B3:G29,MATCH(9,B4:B30,0),5)</f>
        <v>8</v>
      </c>
      <c r="H12" s="11">
        <f>INDEX('2s.bezr.pow.'!B3:G29,MATCH(9,B4:B30,0),6)</f>
        <v>0.69999999999999929</v>
      </c>
    </row>
    <row r="13" spans="1:8" x14ac:dyDescent="0.2">
      <c r="A13" s="12">
        <v>10</v>
      </c>
      <c r="B13" s="4">
        <f>RANK('2s.bezr.pow.'!C12,'2s.bezr.pow.'!$C$3:'2s.bezr.pow.'!$C$29,1)+COUNTIF('2s.bezr.pow.'!$C$3:'2s.bezr.pow.'!C12,'2s.bezr.pow.'!C12)-1</f>
        <v>26</v>
      </c>
      <c r="C13" s="3" t="str">
        <f>INDEX('2s.bezr.pow.'!B3:G29,MATCH(10,B4:B30,0),1)</f>
        <v>Powiat kolbuszowski</v>
      </c>
      <c r="D13" s="5">
        <f>INDEX('2s.bezr.pow.'!B3:G29,MATCH(10,B4:B30,0),2)</f>
        <v>9.1999999999999993</v>
      </c>
      <c r="E13" s="36">
        <f>INDEX('2s.bezr.pow.'!B3:G29,MATCH(10,B4:B30,0),3)</f>
        <v>9.1999999999999993</v>
      </c>
      <c r="F13" s="11">
        <f>INDEX('2s.bezr.pow.'!B3:G29,MATCH(10,B4:B30,0),4)</f>
        <v>0</v>
      </c>
      <c r="G13" s="36">
        <f>INDEX('2s.bezr.pow.'!B3:G29,MATCH(10,B4:B30,0),5)</f>
        <v>8.6</v>
      </c>
      <c r="H13" s="11">
        <f>INDEX('2s.bezr.pow.'!B3:G29,MATCH(10,B4:B30,0),6)</f>
        <v>0.59999999999999964</v>
      </c>
    </row>
    <row r="14" spans="1:8" x14ac:dyDescent="0.2">
      <c r="A14" s="12">
        <v>11</v>
      </c>
      <c r="B14" s="4">
        <f>RANK('2s.bezr.pow.'!C13,'2s.bezr.pow.'!$C$3:'2s.bezr.pow.'!$C$29,1)+COUNTIF('2s.bezr.pow.'!$C$3:'2s.bezr.pow.'!C13,'2s.bezr.pow.'!C13)-1</f>
        <v>21</v>
      </c>
      <c r="C14" s="3" t="str">
        <f>INDEX('2s.bezr.pow.'!B3:G29,MATCH(11,B4:B30,0),1)</f>
        <v>PODKARPACKIE</v>
      </c>
      <c r="D14" s="5">
        <f>INDEX('2s.bezr.pow.'!B3:G29,MATCH(11,B4:B30,0),2)</f>
        <v>9.6</v>
      </c>
      <c r="E14" s="36">
        <f>INDEX('2s.bezr.pow.'!B3:G29,MATCH(11,B4:B30,0),3)</f>
        <v>9.6</v>
      </c>
      <c r="F14" s="11">
        <f>INDEX('2s.bezr.pow.'!B3:G29,MATCH(11,B4:B30,0),4)</f>
        <v>0</v>
      </c>
      <c r="G14" s="36">
        <f>INDEX('2s.bezr.pow.'!B3:G29,MATCH(11,B4:B30,0),5)</f>
        <v>9.1</v>
      </c>
      <c r="H14" s="11">
        <f>INDEX('2s.bezr.pow.'!B3:G29,MATCH(11,B4:B30,0),6)</f>
        <v>0.5</v>
      </c>
    </row>
    <row r="15" spans="1:8" x14ac:dyDescent="0.2">
      <c r="A15" s="12">
        <v>12</v>
      </c>
      <c r="B15" s="4">
        <f>RANK('2s.bezr.pow.'!C14,'2s.bezr.pow.'!$C$3:'2s.bezr.pow.'!$C$29,1)+COUNTIF('2s.bezr.pow.'!$C$3:'2s.bezr.pow.'!C14,'2s.bezr.pow.'!C14)-1</f>
        <v>15</v>
      </c>
      <c r="C15" s="21" t="str">
        <f>INDEX('2s.bezr.pow.'!B3:G29,MATCH(12,B4:B30,0),1)</f>
        <v>Powiat sanocki</v>
      </c>
      <c r="D15" s="5">
        <f>INDEX('2s.bezr.pow.'!B3:G29,MATCH(12,B4:B30,0),2)</f>
        <v>9.9</v>
      </c>
      <c r="E15" s="36">
        <f>INDEX('2s.bezr.pow.'!B3:G29,MATCH(12,B4:B30,0),3)</f>
        <v>9.9</v>
      </c>
      <c r="F15" s="11">
        <f>INDEX('2s.bezr.pow.'!B3:G29,MATCH(12,B4:B30,0),4)</f>
        <v>0</v>
      </c>
      <c r="G15" s="36">
        <f>INDEX('2s.bezr.pow.'!B3:G29,MATCH(12,B4:B30,0),5)</f>
        <v>9.5</v>
      </c>
      <c r="H15" s="11">
        <f>INDEX('2s.bezr.pow.'!B3:G29,MATCH(12,B4:B30,0),6)</f>
        <v>0.40000000000000036</v>
      </c>
    </row>
    <row r="16" spans="1:8" x14ac:dyDescent="0.2">
      <c r="A16" s="12">
        <v>13</v>
      </c>
      <c r="B16" s="4">
        <f>RANK('2s.bezr.pow.'!C15,'2s.bezr.pow.'!$C$3:'2s.bezr.pow.'!$C$29,1)+COUNTIF('2s.bezr.pow.'!$C$3:'2s.bezr.pow.'!C15,'2s.bezr.pow.'!C15)-1</f>
        <v>14</v>
      </c>
      <c r="C16" s="3" t="str">
        <f>INDEX('2s.bezr.pow.'!B3:G29,MATCH(13,B4:B30,0),1)</f>
        <v>Powiat krośnieński</v>
      </c>
      <c r="D16" s="5">
        <f>INDEX('2s.bezr.pow.'!B3:G29,MATCH(13,B4:B30,0),2)</f>
        <v>10.3</v>
      </c>
      <c r="E16" s="36">
        <f>INDEX('2s.bezr.pow.'!B3:G29,MATCH(13,B4:B30,0),3)</f>
        <v>10.4</v>
      </c>
      <c r="F16" s="11">
        <f>INDEX('2s.bezr.pow.'!B3:G29,MATCH(13,B4:B30,0),4)</f>
        <v>-9.9999999999999645E-2</v>
      </c>
      <c r="G16" s="36">
        <f>INDEX('2s.bezr.pow.'!B3:G29,MATCH(13,B4:B30,0),5)</f>
        <v>9.6999999999999993</v>
      </c>
      <c r="H16" s="11">
        <f>INDEX('2s.bezr.pow.'!B3:G29,MATCH(13,B4:B30,0),6)</f>
        <v>0.60000000000000142</v>
      </c>
    </row>
    <row r="17" spans="1:8" x14ac:dyDescent="0.2">
      <c r="A17" s="12">
        <v>14</v>
      </c>
      <c r="B17" s="4">
        <f>RANK('2s.bezr.pow.'!C16,'2s.bezr.pow.'!$C$3:'2s.bezr.pow.'!$C$29,1)+COUNTIF('2s.bezr.pow.'!$C$3:'2s.bezr.pow.'!C16,'2s.bezr.pow.'!C16)-1</f>
        <v>5</v>
      </c>
      <c r="C17" s="3" t="str">
        <f>INDEX('2s.bezr.pow.'!B3:G29,MATCH(14,B4:B30,0),1)</f>
        <v>Powiat łańcucki</v>
      </c>
      <c r="D17" s="5">
        <f>INDEX('2s.bezr.pow.'!B3:G29,MATCH(14,B4:B30,0),2)</f>
        <v>10.5</v>
      </c>
      <c r="E17" s="36">
        <f>INDEX('2s.bezr.pow.'!B3:G29,MATCH(14,B4:B30,0),3)</f>
        <v>10.4</v>
      </c>
      <c r="F17" s="11">
        <f>INDEX('2s.bezr.pow.'!B3:G29,MATCH(14,B4:B30,0),4)</f>
        <v>9.9999999999999645E-2</v>
      </c>
      <c r="G17" s="36">
        <f>INDEX('2s.bezr.pow.'!B3:G29,MATCH(14,B4:B30,0),5)</f>
        <v>9.9</v>
      </c>
      <c r="H17" s="11">
        <f>INDEX('2s.bezr.pow.'!B3:G29,MATCH(14,B4:B30,0),6)</f>
        <v>0.59999999999999964</v>
      </c>
    </row>
    <row r="18" spans="1:8" x14ac:dyDescent="0.2">
      <c r="A18" s="12">
        <v>15</v>
      </c>
      <c r="B18" s="4">
        <f>RANK('2s.bezr.pow.'!C17,'2s.bezr.pow.'!$C$3:'2s.bezr.pow.'!$C$29,1)+COUNTIF('2s.bezr.pow.'!$C$3:'2s.bezr.pow.'!C17,'2s.bezr.pow.'!C17)-1</f>
        <v>23</v>
      </c>
      <c r="C18" s="3" t="str">
        <f>INDEX('2s.bezr.pow.'!B3:G29,MATCH(15,B4:B30,0),1)</f>
        <v>Powiat lubaczowski</v>
      </c>
      <c r="D18" s="5">
        <f>INDEX('2s.bezr.pow.'!B3:G29,MATCH(15,B4:B30,0),2)</f>
        <v>11.2</v>
      </c>
      <c r="E18" s="36">
        <f>INDEX('2s.bezr.pow.'!B3:G29,MATCH(15,B4:B30,0),3)</f>
        <v>11.2</v>
      </c>
      <c r="F18" s="11">
        <f>INDEX('2s.bezr.pow.'!B3:G29,MATCH(15,B4:B30,0),4)</f>
        <v>0</v>
      </c>
      <c r="G18" s="36">
        <f>INDEX('2s.bezr.pow.'!B3:G29,MATCH(15,B4:B30,0),5)</f>
        <v>10.6</v>
      </c>
      <c r="H18" s="11">
        <f>INDEX('2s.bezr.pow.'!B3:G29,MATCH(15,B4:B30,0),6)</f>
        <v>0.59999999999999964</v>
      </c>
    </row>
    <row r="19" spans="1:8" x14ac:dyDescent="0.2">
      <c r="A19" s="12">
        <v>16</v>
      </c>
      <c r="B19" s="4">
        <f>RANK('2s.bezr.pow.'!C18,'2s.bezr.pow.'!$C$3:'2s.bezr.pow.'!$C$29,1)+COUNTIF('2s.bezr.pow.'!$C$3:'2s.bezr.pow.'!C18,'2s.bezr.pow.'!C18)-1</f>
        <v>24</v>
      </c>
      <c r="C19" s="3" t="str">
        <f>INDEX('2s.bezr.pow.'!B3:G29,MATCH(16,B4:B30,0),1)</f>
        <v>Powiat m.Przemyśl</v>
      </c>
      <c r="D19" s="5">
        <f>INDEX('2s.bezr.pow.'!B3:G29,MATCH(16,B4:B30,0),2)</f>
        <v>11.2</v>
      </c>
      <c r="E19" s="36">
        <f>INDEX('2s.bezr.pow.'!B3:G29,MATCH(16,B4:B30,0),3)</f>
        <v>10.9</v>
      </c>
      <c r="F19" s="11">
        <f>INDEX('2s.bezr.pow.'!B3:G29,MATCH(16,B4:B30,0),4)</f>
        <v>0.29999999999999893</v>
      </c>
      <c r="G19" s="36">
        <f>INDEX('2s.bezr.pow.'!B3:G29,MATCH(16,B4:B30,0),5)</f>
        <v>10.5</v>
      </c>
      <c r="H19" s="11">
        <f>INDEX('2s.bezr.pow.'!B3:G29,MATCH(16,B4:B30,0),6)</f>
        <v>0.69999999999999929</v>
      </c>
    </row>
    <row r="20" spans="1:8" x14ac:dyDescent="0.2">
      <c r="A20" s="12">
        <v>17</v>
      </c>
      <c r="B20" s="4">
        <f>RANK('2s.bezr.pow.'!C19,'2s.bezr.pow.'!$C$3:'2s.bezr.pow.'!$C$29,1)+COUNTIF('2s.bezr.pow.'!$C$3:'2s.bezr.pow.'!C19,'2s.bezr.pow.'!C19)-1</f>
        <v>20</v>
      </c>
      <c r="C20" s="3" t="str">
        <f>INDEX('2s.bezr.pow.'!B3:G29,MATCH(17,B4:B30,0),1)</f>
        <v>Powiat ropczycko-sędziszowski</v>
      </c>
      <c r="D20" s="5">
        <f>INDEX('2s.bezr.pow.'!B3:G29,MATCH(17,B4:B30,0),2)</f>
        <v>11.8</v>
      </c>
      <c r="E20" s="36">
        <f>INDEX('2s.bezr.pow.'!B3:G29,MATCH(17,B4:B30,0),3)</f>
        <v>12</v>
      </c>
      <c r="F20" s="11">
        <f>INDEX('2s.bezr.pow.'!B3:G29,MATCH(17,B4:B30,0),4)</f>
        <v>-0.19999999999999929</v>
      </c>
      <c r="G20" s="36">
        <f>INDEX('2s.bezr.pow.'!B3:G29,MATCH(17,B4:B30,0),5)</f>
        <v>11.1</v>
      </c>
      <c r="H20" s="11">
        <f>INDEX('2s.bezr.pow.'!B3:G29,MATCH(17,B4:B30,0),6)</f>
        <v>0.70000000000000107</v>
      </c>
    </row>
    <row r="21" spans="1:8" x14ac:dyDescent="0.2">
      <c r="A21" s="12">
        <v>18</v>
      </c>
      <c r="B21" s="4">
        <f>RANK('2s.bezr.pow.'!C20,'2s.bezr.pow.'!$C$3:'2s.bezr.pow.'!$C$29,1)+COUNTIF('2s.bezr.pow.'!$C$3:'2s.bezr.pow.'!C20,'2s.bezr.pow.'!C20)-1</f>
        <v>17</v>
      </c>
      <c r="C21" s="3" t="str">
        <f>INDEX('2s.bezr.pow.'!B3:G29,MATCH(18,B4:B30,0),1)</f>
        <v>Powiat jarosławski</v>
      </c>
      <c r="D21" s="5">
        <f>INDEX('2s.bezr.pow.'!B3:G29,MATCH(18,B4:B30,0),2)</f>
        <v>12.4</v>
      </c>
      <c r="E21" s="36">
        <f>INDEX('2s.bezr.pow.'!B3:G29,MATCH(18,B4:B30,0),3)</f>
        <v>12.2</v>
      </c>
      <c r="F21" s="11">
        <f>INDEX('2s.bezr.pow.'!B3:G29,MATCH(18,B4:B30,0),4)</f>
        <v>0.20000000000000107</v>
      </c>
      <c r="G21" s="36">
        <f>INDEX('2s.bezr.pow.'!B3:G29,MATCH(18,B4:B30,0),5)</f>
        <v>12.2</v>
      </c>
      <c r="H21" s="11">
        <f>INDEX('2s.bezr.pow.'!B3:G29,MATCH(18,B4:B30,0),6)</f>
        <v>0.20000000000000107</v>
      </c>
    </row>
    <row r="22" spans="1:8" x14ac:dyDescent="0.2">
      <c r="A22" s="12">
        <v>19</v>
      </c>
      <c r="B22" s="4">
        <f>RANK('2s.bezr.pow.'!C21,'2s.bezr.pow.'!$C$3:'2s.bezr.pow.'!$C$29,1)+COUNTIF('2s.bezr.pow.'!$C$3:'2s.bezr.pow.'!C21,'2s.bezr.pow.'!C21)-1</f>
        <v>7</v>
      </c>
      <c r="C22" s="3" t="str">
        <f>INDEX('2s.bezr.pow.'!B3:G29,MATCH(19,B4:B30,0),1)</f>
        <v>Powiat jasielski</v>
      </c>
      <c r="D22" s="5">
        <f>INDEX('2s.bezr.pow.'!B3:G29,MATCH(19,B4:B30,0),2)</f>
        <v>14.2</v>
      </c>
      <c r="E22" s="36">
        <f>INDEX('2s.bezr.pow.'!B3:G29,MATCH(19,B4:B30,0),3)</f>
        <v>14.1</v>
      </c>
      <c r="F22" s="11">
        <f>INDEX('2s.bezr.pow.'!B3:G29,MATCH(19,B4:B30,0),4)</f>
        <v>9.9999999999999645E-2</v>
      </c>
      <c r="G22" s="36">
        <f>INDEX('2s.bezr.pow.'!B3:G29,MATCH(19,B4:B30,0),5)</f>
        <v>13.4</v>
      </c>
      <c r="H22" s="11">
        <f>INDEX('2s.bezr.pow.'!B3:G29,MATCH(19,B4:B30,0),6)</f>
        <v>0.79999999999999893</v>
      </c>
    </row>
    <row r="23" spans="1:8" x14ac:dyDescent="0.2">
      <c r="A23" s="12">
        <v>20</v>
      </c>
      <c r="B23" s="4">
        <f>RANK('2s.bezr.pow.'!C22,'2s.bezr.pow.'!$C$3:'2s.bezr.pow.'!$C$29,1)+COUNTIF('2s.bezr.pow.'!$C$3:'2s.bezr.pow.'!C22,'2s.bezr.pow.'!C22)-1</f>
        <v>12</v>
      </c>
      <c r="C23" s="3" t="str">
        <f>INDEX('2s.bezr.pow.'!B3:G29,MATCH(20,B4:B30,0),1)</f>
        <v>Powiat przeworski</v>
      </c>
      <c r="D23" s="5">
        <f>INDEX('2s.bezr.pow.'!B3:G29,MATCH(20,B4:B30,0),2)</f>
        <v>14.7</v>
      </c>
      <c r="E23" s="36">
        <f>INDEX('2s.bezr.pow.'!B3:G29,MATCH(20,B4:B30,0),3)</f>
        <v>14.8</v>
      </c>
      <c r="F23" s="11">
        <f>INDEX('2s.bezr.pow.'!B3:G29,MATCH(20,B4:B30,0),4)</f>
        <v>-0.10000000000000142</v>
      </c>
      <c r="G23" s="36">
        <f>INDEX('2s.bezr.pow.'!B3:G29,MATCH(20,B4:B30,0),5)</f>
        <v>13.7</v>
      </c>
      <c r="H23" s="11">
        <f>INDEX('2s.bezr.pow.'!B3:G29,MATCH(20,B4:B30,0),6)</f>
        <v>1</v>
      </c>
    </row>
    <row r="24" spans="1:8" x14ac:dyDescent="0.2">
      <c r="A24" s="12">
        <v>21</v>
      </c>
      <c r="B24" s="4">
        <f>RANK('2s.bezr.pow.'!C23,'2s.bezr.pow.'!$C$3:'2s.bezr.pow.'!$C$29,1)+COUNTIF('2s.bezr.pow.'!$C$3:'2s.bezr.pow.'!C23,'2s.bezr.pow.'!C23)-1</f>
        <v>6</v>
      </c>
      <c r="C24" s="3" t="str">
        <f>INDEX('2s.bezr.pow.'!B3:G29,MATCH(21,B4:B30,0),1)</f>
        <v>Powiat leżajski</v>
      </c>
      <c r="D24" s="5">
        <f>INDEX('2s.bezr.pow.'!B3:G29,MATCH(21,B4:B30,0),2)</f>
        <v>15</v>
      </c>
      <c r="E24" s="36">
        <f>INDEX('2s.bezr.pow.'!B3:G29,MATCH(21,B4:B30,0),3)</f>
        <v>14.7</v>
      </c>
      <c r="F24" s="11">
        <f>INDEX('2s.bezr.pow.'!B3:G29,MATCH(21,B4:B30,0),4)</f>
        <v>0.30000000000000071</v>
      </c>
      <c r="G24" s="36">
        <f>INDEX('2s.bezr.pow.'!B3:G29,MATCH(21,B4:B30,0),5)</f>
        <v>14.9</v>
      </c>
      <c r="H24" s="11">
        <f>INDEX('2s.bezr.pow.'!B3:G29,MATCH(21,B4:B30,0),6)</f>
        <v>9.9999999999999645E-2</v>
      </c>
    </row>
    <row r="25" spans="1:8" x14ac:dyDescent="0.2">
      <c r="A25" s="12">
        <v>22</v>
      </c>
      <c r="B25" s="4">
        <f>RANK('2s.bezr.pow.'!C24,'2s.bezr.pow.'!$C$3:'2s.bezr.pow.'!$C$29,1)+COUNTIF('2s.bezr.pow.'!$C$3:'2s.bezr.pow.'!C24,'2s.bezr.pow.'!C24)-1</f>
        <v>25</v>
      </c>
      <c r="C25" s="3" t="str">
        <f>INDEX('2s.bezr.pow.'!B3:G29,MATCH(22,B4:B30,0),1)</f>
        <v>Powiat bieszczadzki</v>
      </c>
      <c r="D25" s="5">
        <f>INDEX('2s.bezr.pow.'!B3:G29,MATCH(22,B4:B30,0),2)</f>
        <v>16.899999999999999</v>
      </c>
      <c r="E25" s="36">
        <f>INDEX('2s.bezr.pow.'!B3:G29,MATCH(22,B4:B30,0),3)</f>
        <v>16.7</v>
      </c>
      <c r="F25" s="11">
        <f>INDEX('2s.bezr.pow.'!B3:G29,MATCH(22,B4:B30,0),4)</f>
        <v>0.19999999999999929</v>
      </c>
      <c r="G25" s="36">
        <f>INDEX('2s.bezr.pow.'!B3:G29,MATCH(22,B4:B30,0),5)</f>
        <v>17</v>
      </c>
      <c r="H25" s="11">
        <f>INDEX('2s.bezr.pow.'!B3:G29,MATCH(22,B4:B30,0),6)</f>
        <v>-0.10000000000000142</v>
      </c>
    </row>
    <row r="26" spans="1:8" x14ac:dyDescent="0.2">
      <c r="A26" s="12">
        <v>23</v>
      </c>
      <c r="B26" s="4">
        <f>RANK('2s.bezr.pow.'!C25,'2s.bezr.pow.'!$C$3:'2s.bezr.pow.'!$C$29,1)+COUNTIF('2s.bezr.pow.'!$C$3:'2s.bezr.pow.'!C25,'2s.bezr.pow.'!C25)-1</f>
        <v>9</v>
      </c>
      <c r="C26" s="3" t="str">
        <f>INDEX('2s.bezr.pow.'!B3:G29,MATCH(23,B4:B30,0),1)</f>
        <v>Powiat niżański</v>
      </c>
      <c r="D26" s="5">
        <f>INDEX('2s.bezr.pow.'!B3:G29,MATCH(23,B4:B30,0),2)</f>
        <v>17</v>
      </c>
      <c r="E26" s="36">
        <f>INDEX('2s.bezr.pow.'!B3:G29,MATCH(23,B4:B30,0),3)</f>
        <v>17.100000000000001</v>
      </c>
      <c r="F26" s="11">
        <f>INDEX('2s.bezr.pow.'!B3:G29,MATCH(23,B4:B30,0),4)</f>
        <v>-0.10000000000000142</v>
      </c>
      <c r="G26" s="36">
        <f>INDEX('2s.bezr.pow.'!B3:G29,MATCH(23,B4:B30,0),5)</f>
        <v>17.2</v>
      </c>
      <c r="H26" s="11">
        <f>INDEX('2s.bezr.pow.'!B3:G29,MATCH(23,B4:B30,0),6)</f>
        <v>-0.19999999999999929</v>
      </c>
    </row>
    <row r="27" spans="1:8" x14ac:dyDescent="0.2">
      <c r="A27" s="12">
        <v>24</v>
      </c>
      <c r="B27" s="4">
        <f>RANK('2s.bezr.pow.'!C26,'2s.bezr.pow.'!$C$3:'2s.bezr.pow.'!$C$29,1)+COUNTIF('2s.bezr.pow.'!$C$3:'2s.bezr.pow.'!C26,'2s.bezr.pow.'!C26)-1</f>
        <v>1</v>
      </c>
      <c r="C27" s="3" t="str">
        <f>INDEX('2s.bezr.pow.'!B3:G29,MATCH(24,B4:B30,0),1)</f>
        <v>Powiat przemyski</v>
      </c>
      <c r="D27" s="5">
        <f>INDEX('2s.bezr.pow.'!B3:G29,MATCH(24,B4:B30,0),2)</f>
        <v>17.2</v>
      </c>
      <c r="E27" s="36">
        <f>INDEX('2s.bezr.pow.'!B3:G29,MATCH(24,B4:B30,0),3)</f>
        <v>17.2</v>
      </c>
      <c r="F27" s="11">
        <f>INDEX('2s.bezr.pow.'!B3:G29,MATCH(24,B4:B30,0),4)</f>
        <v>0</v>
      </c>
      <c r="G27" s="36">
        <f>INDEX('2s.bezr.pow.'!B3:G29,MATCH(24,B4:B30,0),5)</f>
        <v>16.5</v>
      </c>
      <c r="H27" s="11">
        <f>INDEX('2s.bezr.pow.'!B3:G29,MATCH(24,B4:B30,0),6)</f>
        <v>0.69999999999999929</v>
      </c>
    </row>
    <row r="28" spans="1:8" x14ac:dyDescent="0.2">
      <c r="A28" s="12">
        <v>25</v>
      </c>
      <c r="B28" s="4">
        <f>RANK('2s.bezr.pow.'!C27,'2s.bezr.pow.'!$C$3:'2s.bezr.pow.'!$C$29,1)+COUNTIF('2s.bezr.pow.'!$C$3:'2s.bezr.pow.'!C27,'2s.bezr.pow.'!C27)-1</f>
        <v>16</v>
      </c>
      <c r="C28" s="3" t="str">
        <f>INDEX('2s.bezr.pow.'!B3:G29,MATCH(25,B4:B30,0),1)</f>
        <v>Powiat strzyżowski</v>
      </c>
      <c r="D28" s="5">
        <f>INDEX('2s.bezr.pow.'!B3:G29,MATCH(25,B4:B30,0),2)</f>
        <v>18.2</v>
      </c>
      <c r="E28" s="36">
        <f>INDEX('2s.bezr.pow.'!B3:G29,MATCH(25,B4:B30,0),3)</f>
        <v>18.3</v>
      </c>
      <c r="F28" s="11">
        <f>INDEX('2s.bezr.pow.'!B3:G29,MATCH(25,B4:B30,0),4)</f>
        <v>-0.10000000000000142</v>
      </c>
      <c r="G28" s="36">
        <f>INDEX('2s.bezr.pow.'!B3:G29,MATCH(25,B4:B30,0),5)</f>
        <v>17.7</v>
      </c>
      <c r="H28" s="11">
        <f>INDEX('2s.bezr.pow.'!B3:G29,MATCH(25,B4:B30,0),6)</f>
        <v>0.5</v>
      </c>
    </row>
    <row r="29" spans="1:8" ht="15" x14ac:dyDescent="0.25">
      <c r="A29" s="12">
        <v>26</v>
      </c>
      <c r="B29" s="9">
        <f>RANK('2s.bezr.pow.'!C28,'2s.bezr.pow.'!$C$3:'2s.bezr.pow.'!$C$29,1)+COUNTIF('2s.bezr.pow.'!$C$3:'2s.bezr.pow.'!C28,'2s.bezr.pow.'!C28)-1</f>
        <v>2</v>
      </c>
      <c r="C29" s="10" t="str">
        <f>INDEX('2s.bezr.pow.'!B3:G29,MATCH(26,B4:B30,0),1)</f>
        <v>Powiat leski</v>
      </c>
      <c r="D29" s="18">
        <f>INDEX('2s.bezr.pow.'!B3:G29,MATCH(26,B4:B30,0),2)</f>
        <v>20.100000000000001</v>
      </c>
      <c r="E29" s="32">
        <f>INDEX('2s.bezr.pow.'!B3:G29,MATCH(26,B4:B30,0),3)</f>
        <v>20.3</v>
      </c>
      <c r="F29" s="22">
        <f>INDEX('2s.bezr.pow.'!B3:G29,MATCH(26,B4:B30,0),4)</f>
        <v>-0.19999999999999929</v>
      </c>
      <c r="G29" s="32">
        <f>INDEX('2s.bezr.pow.'!B3:G29,MATCH(26,B4:B30,0),5)</f>
        <v>19.8</v>
      </c>
      <c r="H29" s="22">
        <f>INDEX('2s.bezr.pow.'!B3:G29,MATCH(26,B4:B30,0),6)</f>
        <v>0.30000000000000071</v>
      </c>
    </row>
    <row r="30" spans="1:8" x14ac:dyDescent="0.2">
      <c r="A30" s="12">
        <v>27</v>
      </c>
      <c r="B30" s="23">
        <f>RANK('2s.bezr.pow.'!C29,'2s.bezr.pow.'!$C$3:'2s.bezr.pow.'!$C$29,1)+COUNTIF('2s.bezr.pow.'!$C$3:'2s.bezr.pow.'!C29,'2s.bezr.pow.'!C29)-1</f>
        <v>8</v>
      </c>
      <c r="C30" s="24" t="str">
        <f>INDEX('2s.bezr.pow.'!B3:G29,MATCH(27,B4:B30,0),1)</f>
        <v>Powiat brzozowski</v>
      </c>
      <c r="D30" s="5">
        <f>INDEX('2s.bezr.pow.'!B3:G29,MATCH(27,B4:B30,0),2)</f>
        <v>21</v>
      </c>
      <c r="E30" s="36">
        <f>INDEX('2s.bezr.pow.'!B3:G29,MATCH(27,B4:B30,0),3)</f>
        <v>21</v>
      </c>
      <c r="F30" s="5">
        <f>INDEX('2s.bezr.pow.'!B3:G29,MATCH(27,B4:B30,0),4)</f>
        <v>0</v>
      </c>
      <c r="G30" s="36">
        <f>INDEX('2s.bezr.pow.'!B3:G29,MATCH(27,B4:B30,0),5)</f>
        <v>21.5</v>
      </c>
      <c r="H30" s="5">
        <f>INDEX('2s.bezr.pow.'!B3:G29,MATCH(27,B4:B30,0),6)</f>
        <v>-0.5</v>
      </c>
    </row>
    <row r="31" spans="1:8" x14ac:dyDescent="0.2">
      <c r="C31" s="25" t="str">
        <f>T('2s.bezr.pow.'!B30)</f>
        <v>** Dane po korekcie GUS.</v>
      </c>
    </row>
    <row r="32" spans="1:8" x14ac:dyDescent="0.2">
      <c r="C32" s="37"/>
    </row>
  </sheetData>
  <pageMargins left="0" right="0" top="0.31496062992125984" bottom="0" header="0" footer="0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2s.bezr.pow.</vt:lpstr>
      <vt:lpstr>2sort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keywords>Zbiorcze zestawienia statystyczna, prawa autorskie Piotr Kocaj</cp:keywords>
  <cp:lastModifiedBy>Bartosz Kostecki</cp:lastModifiedBy>
  <cp:lastPrinted>2026-03-12T10:14:21Z</cp:lastPrinted>
  <dcterms:created xsi:type="dcterms:W3CDTF">2016-08-02T05:46:03Z</dcterms:created>
  <dcterms:modified xsi:type="dcterms:W3CDTF">2026-03-24T12:09:13Z</dcterms:modified>
</cp:coreProperties>
</file>